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730"/>
  <workbookPr/>
  <mc:AlternateContent xmlns:mc="http://schemas.openxmlformats.org/markup-compatibility/2006">
    <mc:Choice Requires="x15">
      <x15ac:absPath xmlns:x15ac="http://schemas.microsoft.com/office/spreadsheetml/2010/11/ac" url="C:\Users\hazem\Desktop\New folder\"/>
    </mc:Choice>
  </mc:AlternateContent>
  <xr:revisionPtr revIDLastSave="0" documentId="8_{7A02A946-874B-4B9F-A24E-CF4AE06831ED}" xr6:coauthVersionLast="45" xr6:coauthVersionMax="45" xr10:uidLastSave="{00000000-0000-0000-0000-000000000000}"/>
  <bookViews>
    <workbookView xWindow="-108" yWindow="-108" windowWidth="23256" windowHeight="12576" xr2:uid="{00000000-000D-0000-FFFF-FFFF00000000}"/>
  </bookViews>
  <sheets>
    <sheet name="Sheet1" sheetId="1" r:id="rId1"/>
  </sheets>
  <definedNames>
    <definedName name="SalesVol">Sheet1!$N$4:$R$8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37" i="1" l="1"/>
  <c r="C43" i="1"/>
  <c r="D43" i="1" s="1"/>
  <c r="E43" i="1" s="1"/>
  <c r="F43" i="1" s="1"/>
  <c r="C41" i="1"/>
  <c r="D41" i="1" s="1"/>
  <c r="E41" i="1" s="1"/>
  <c r="F41" i="1" s="1"/>
  <c r="D40" i="1"/>
  <c r="E40" i="1"/>
  <c r="F40" i="1"/>
  <c r="C40" i="1"/>
  <c r="F34" i="1"/>
  <c r="F32" i="1"/>
  <c r="B27" i="1"/>
  <c r="E30" i="1" s="1"/>
  <c r="E45" i="1" s="1"/>
  <c r="E49" i="1" s="1"/>
  <c r="B25" i="1"/>
  <c r="B26" i="1"/>
  <c r="B24" i="1"/>
  <c r="A24" i="1"/>
  <c r="C42" i="1" l="1"/>
  <c r="B37" i="1" s="1"/>
  <c r="D30" i="1"/>
  <c r="D45" i="1" s="1"/>
  <c r="D49" i="1" s="1"/>
  <c r="C30" i="1"/>
  <c r="C45" i="1" s="1"/>
  <c r="C49" i="1" s="1"/>
  <c r="C31" i="1"/>
  <c r="D31" i="1" s="1"/>
  <c r="E31" i="1" s="1"/>
  <c r="F31" i="1" s="1"/>
  <c r="F33" i="1" s="1"/>
  <c r="F35" i="1" s="1"/>
  <c r="F54" i="1" s="1"/>
  <c r="F30" i="1"/>
  <c r="F45" i="1" s="1"/>
  <c r="F49" i="1" s="1"/>
  <c r="F42" i="1"/>
  <c r="E37" i="1" s="1"/>
  <c r="F38" i="1" s="1"/>
  <c r="F52" i="1" s="1"/>
  <c r="E42" i="1"/>
  <c r="D37" i="1" s="1"/>
  <c r="D42" i="1"/>
  <c r="C37" i="1" s="1"/>
  <c r="F44" i="1"/>
  <c r="C44" i="1"/>
  <c r="E44" i="1"/>
  <c r="D44" i="1"/>
  <c r="C46" i="1" l="1"/>
  <c r="C47" i="1" s="1"/>
  <c r="C48" i="1" s="1"/>
  <c r="C50" i="1" s="1"/>
  <c r="E38" i="1"/>
  <c r="E52" i="1" s="1"/>
  <c r="D46" i="1"/>
  <c r="D47" i="1" s="1"/>
  <c r="D48" i="1" s="1"/>
  <c r="D50" i="1" s="1"/>
  <c r="E46" i="1"/>
  <c r="E47" i="1" s="1"/>
  <c r="E48" i="1" s="1"/>
  <c r="E50" i="1" s="1"/>
  <c r="F46" i="1"/>
  <c r="F47" i="1" s="1"/>
  <c r="F48" i="1" s="1"/>
  <c r="F50" i="1" s="1"/>
  <c r="F56" i="1" s="1"/>
  <c r="C38" i="1"/>
  <c r="C52" i="1" s="1"/>
  <c r="B38" i="1"/>
  <c r="B52" i="1" s="1"/>
  <c r="B56" i="1" s="1"/>
  <c r="B57" i="1" s="1"/>
  <c r="D38" i="1"/>
  <c r="D52" i="1" s="1"/>
  <c r="E56" i="1" l="1"/>
  <c r="C56" i="1"/>
  <c r="C57" i="1" s="1"/>
  <c r="D56" i="1"/>
  <c r="B63" i="1" l="1"/>
  <c r="C70" i="1" s="1"/>
  <c r="D57" i="1"/>
  <c r="C58" i="1"/>
  <c r="B65" i="1"/>
  <c r="F6" i="1" s="1"/>
  <c r="B64" i="1"/>
  <c r="F5" i="1" s="1"/>
  <c r="F4" i="1" l="1"/>
  <c r="F10" i="1" s="1"/>
  <c r="B66" i="1"/>
  <c r="F7" i="1" s="1"/>
  <c r="C59" i="1"/>
  <c r="C60" i="1" s="1"/>
  <c r="E57" i="1"/>
  <c r="D58" i="1"/>
  <c r="F70" i="1" l="1"/>
  <c r="D59" i="1"/>
  <c r="D60" i="1" s="1"/>
  <c r="F57" i="1"/>
  <c r="F58" i="1" s="1"/>
  <c r="E58" i="1"/>
  <c r="E59" i="1" l="1"/>
  <c r="E60" i="1" s="1"/>
  <c r="F59" i="1"/>
  <c r="F60" i="1" s="1"/>
  <c r="G58" i="1"/>
  <c r="G60" i="1" l="1"/>
  <c r="B67" i="1" s="1"/>
  <c r="F8"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William A</author>
  </authors>
  <commentList>
    <comment ref="B4" authorId="0" shapeId="0" xr:uid="{DB0F59A0-A5F9-44E2-B5E1-B5772A7AF740}">
      <text>
        <r>
          <rPr>
            <sz val="9"/>
            <color indexed="81"/>
            <rFont val="Tahoma"/>
            <family val="2"/>
          </rPr>
          <t xml:space="preserve">Use a drop down box to input the sales volume table number. For directions how to create a drop down box, see Lynda.com
</t>
        </r>
      </text>
    </comment>
    <comment ref="F4" authorId="0" shapeId="0" xr:uid="{584C97E3-B9F2-4CC2-B659-0684CD8DEF13}">
      <text>
        <r>
          <rPr>
            <sz val="9"/>
            <color indexed="81"/>
            <rFont val="Tahoma"/>
            <family val="2"/>
          </rPr>
          <t xml:space="preserve">Notice how the Output Section values are LINKED to the corresponding Calculation Section values. That means the Output Section is also linked to the Input Section values. So, when an Input Section Parameter is changed, an Output Section variable should change too. If not, there is a break in the linkage or no linkage at all.
</t>
        </r>
      </text>
    </comment>
    <comment ref="C9" authorId="0" shapeId="0" xr:uid="{E85F7AE7-953B-4940-9AF7-3C8DEBF133F1}">
      <text>
        <r>
          <rPr>
            <sz val="9"/>
            <color indexed="81"/>
            <rFont val="Tahoma"/>
            <family val="2"/>
          </rPr>
          <t xml:space="preserve">Notice how the Input Section and the Output Section are next to each other at the top or beginning of the spreadsheet. This way, anybody using this spreadsheet can easily see the impact that a change in one input variable has on the output variables. That can also be a way of testing whether the input and output sections are properly linked. 
</t>
        </r>
      </text>
    </comment>
    <comment ref="B24" authorId="0" shapeId="0" xr:uid="{EA19A87A-68C7-4F8A-BF01-5C3963F478F0}">
      <text>
        <r>
          <rPr>
            <sz val="9"/>
            <color indexed="81"/>
            <rFont val="Tahoma"/>
            <family val="2"/>
          </rPr>
          <t xml:space="preserve">Notice how input values shown in the Calculation Section are LINKED to the corresponding values shown in the Input Section. DO NOT HARD CODE INPUT VALUES WHEN YOU CAN LINK THEM TO THE INPUT SECTION!
</t>
        </r>
      </text>
    </comment>
    <comment ref="C40" authorId="0" shapeId="0" xr:uid="{E44C9970-2889-42DB-A61B-88F05CA097E7}">
      <text>
        <r>
          <rPr>
            <sz val="9"/>
            <color indexed="81"/>
            <rFont val="Tahoma"/>
            <family val="2"/>
          </rPr>
          <t xml:space="preserve">Study how the VLOOKUP function is used to determine the appropriate sales volume for a given year and for a specified table to the SALES VOLUME TABLE. For directions how to use the VLOOKUP function, see Lynda.com.
</t>
        </r>
      </text>
    </comment>
    <comment ref="C71" authorId="0" shapeId="0" xr:uid="{57ABF5BB-8BAF-448D-8266-C1250B2D7107}">
      <text>
        <r>
          <rPr>
            <sz val="9"/>
            <color indexed="81"/>
            <rFont val="Tahoma"/>
            <family val="2"/>
          </rPr>
          <t xml:space="preserve">Use a one-way Data Table to do this Sensitivity Analysis. For how to do this, look up "Data Table" under M.S. Excel in Lynda.com 
</t>
        </r>
      </text>
    </comment>
    <comment ref="C88" authorId="0" shapeId="0" xr:uid="{F9663BD0-2AC0-44D6-8489-8E4CF1E463A1}">
      <text>
        <r>
          <rPr>
            <sz val="9"/>
            <color indexed="81"/>
            <rFont val="Tahoma"/>
            <family val="2"/>
          </rPr>
          <t xml:space="preserve">Notice how the graph is properly labeled: it has a heading that is brief but descriptive, and both axes are labeled. Moreover, the NPV is shown in thousands of dollars. This way, you don't see a bunch of non-essential zeros taking up the axis space.
</t>
        </r>
      </text>
    </comment>
  </commentList>
</comments>
</file>

<file path=xl/sharedStrings.xml><?xml version="1.0" encoding="utf-8"?>
<sst xmlns="http://schemas.openxmlformats.org/spreadsheetml/2006/main" count="63" uniqueCount="52">
  <si>
    <t>Input Variables</t>
  </si>
  <si>
    <t xml:space="preserve">Annual VolumeTable </t>
  </si>
  <si>
    <t>Sales Volume Table</t>
  </si>
  <si>
    <t>Year</t>
  </si>
  <si>
    <t>Incremental Cost/Unit Year 1</t>
  </si>
  <si>
    <t>Annual Inflation Rate for Costs</t>
  </si>
  <si>
    <t>Average Initial Sales Price/Unit</t>
  </si>
  <si>
    <t>Annual Inflation Rate for Sales Price Yrs 2-3</t>
  </si>
  <si>
    <t>Annual Inflation Rate for Sales Price Yr 4</t>
  </si>
  <si>
    <t>Investment in Machinery</t>
  </si>
  <si>
    <t>Shipping</t>
  </si>
  <si>
    <t>Installation</t>
  </si>
  <si>
    <t>Required Net Operating Working Capital (NOWC)</t>
  </si>
  <si>
    <t>Recovery Rate of NOWC at Termination</t>
  </si>
  <si>
    <t>Marginal Tax Rate</t>
  </si>
  <si>
    <t xml:space="preserve">Cost of Capital </t>
  </si>
  <si>
    <t>OutPut Variables</t>
  </si>
  <si>
    <t>NPV</t>
  </si>
  <si>
    <t>IRR</t>
  </si>
  <si>
    <t>MIRR</t>
  </si>
  <si>
    <t>PI</t>
  </si>
  <si>
    <t>YTP</t>
  </si>
  <si>
    <t>Discounted YTP</t>
  </si>
  <si>
    <t>Invest or Not?</t>
  </si>
  <si>
    <t>Calculation Section</t>
  </si>
  <si>
    <t>Total Investment at Time 0</t>
  </si>
  <si>
    <t>MACRS Factors (3 Year Category)</t>
  </si>
  <si>
    <t xml:space="preserve">Depreciation Allowance </t>
  </si>
  <si>
    <t>Book Value</t>
  </si>
  <si>
    <t>Salvage Value at Termination Date</t>
  </si>
  <si>
    <t>Estimated Salvage Value at End of Year 4</t>
  </si>
  <si>
    <t>Capital Gain (Loss) Upon Sale of Assets</t>
  </si>
  <si>
    <t>Marginal Tax Rate on Sale of Asset</t>
  </si>
  <si>
    <t>Taxes on Capital Gain (Loss)</t>
  </si>
  <si>
    <t>Required Level of NOWC</t>
  </si>
  <si>
    <t>Changes in NOWC</t>
  </si>
  <si>
    <t>Projected Sales Volume</t>
  </si>
  <si>
    <t>Projected Price/Unit</t>
  </si>
  <si>
    <t>Projected Revenues</t>
  </si>
  <si>
    <t>Incremental Cost/Unit</t>
  </si>
  <si>
    <t>Depreciation Allowance</t>
  </si>
  <si>
    <t>Projected Incremental Costs</t>
  </si>
  <si>
    <t>Earnings Before Interest and Taxes (EBIT)</t>
  </si>
  <si>
    <t>Taxes</t>
  </si>
  <si>
    <t>Operating Net Income</t>
  </si>
  <si>
    <t>Operating Cash Flows</t>
  </si>
  <si>
    <t>Net Proceeds from Sale of Assets</t>
  </si>
  <si>
    <t>Free Cash Flows to the Firm  (FCFF)</t>
  </si>
  <si>
    <t>Accum FCFF</t>
  </si>
  <si>
    <t>Sales Price Yr 1</t>
  </si>
  <si>
    <t>NWC Requirements</t>
  </si>
  <si>
    <t>SuperficIal Casting Company Solution Set with Comments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</si>
</sst>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44" formatCode="_(&quot;$&quot;* #,##0.00_);_(&quot;$&quot;* \(#,##0.00\);_(&quot;$&quot;* &quot;-&quot;??_);_(@_)"/>
    <numFmt numFmtId="43" formatCode="_(* #,##0.00_);_(* \(#,##0.00\);_(* &quot;-&quot;??_);_(@_)"/>
    <numFmt numFmtId="164" formatCode="0.0000000"/>
    <numFmt numFmtId="165" formatCode="_(&quot;$&quot;* #,##0_);_(&quot;$&quot;* \(#,##0\);_(&quot;$&quot;* &quot;-&quot;??_);_(@_)"/>
    <numFmt numFmtId="166" formatCode="0.0%"/>
    <numFmt numFmtId="167" formatCode="&quot;$&quot;#,##0"/>
  </numFmts>
  <fonts count="5" x14ac:knownFonts="1">
    <font>
      <sz val="11"/>
      <color theme="1"/>
      <name val="Calibri"/>
      <family val="2"/>
      <scheme val="minor"/>
    </font>
    <font>
      <sz val="11"/>
      <color theme="1"/>
      <name val="Calibri"/>
      <family val="2"/>
      <scheme val="minor"/>
    </font>
    <font>
      <b/>
      <sz val="11"/>
      <color theme="1"/>
      <name val="Calibri"/>
      <family val="2"/>
      <scheme val="minor"/>
    </font>
    <font>
      <sz val="9"/>
      <color indexed="81"/>
      <name val="Tahoma"/>
      <family val="2"/>
    </font>
    <font>
      <b/>
      <sz val="14"/>
      <color theme="1"/>
      <name val="Calibri"/>
      <family val="2"/>
      <scheme val="minor"/>
    </font>
  </fonts>
  <fills count="2">
    <fill>
      <patternFill patternType="none"/>
    </fill>
    <fill>
      <patternFill patternType="gray125"/>
    </fill>
  </fills>
  <borders count="7">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25">
    <xf numFmtId="0" fontId="0" fillId="0" borderId="0" xfId="0"/>
    <xf numFmtId="10" fontId="0" fillId="0" borderId="0" xfId="3" applyNumberFormat="1" applyFont="1"/>
    <xf numFmtId="44" fontId="0" fillId="0" borderId="0" xfId="2" applyFont="1"/>
    <xf numFmtId="0" fontId="2" fillId="0" borderId="0" xfId="0" applyFont="1"/>
    <xf numFmtId="164" fontId="0" fillId="0" borderId="0" xfId="0" applyNumberFormat="1"/>
    <xf numFmtId="165" fontId="0" fillId="0" borderId="0" xfId="0" applyNumberFormat="1"/>
    <xf numFmtId="10" fontId="0" fillId="0" borderId="0" xfId="0" applyNumberFormat="1"/>
    <xf numFmtId="165" fontId="2" fillId="0" borderId="0" xfId="0" applyNumberFormat="1" applyFont="1"/>
    <xf numFmtId="165" fontId="0" fillId="0" borderId="0" xfId="2" applyNumberFormat="1" applyFont="1"/>
    <xf numFmtId="2" fontId="0" fillId="0" borderId="0" xfId="0" applyNumberFormat="1"/>
    <xf numFmtId="1" fontId="0" fillId="0" borderId="0" xfId="0" applyNumberFormat="1"/>
    <xf numFmtId="6" fontId="0" fillId="0" borderId="0" xfId="0" applyNumberFormat="1"/>
    <xf numFmtId="43" fontId="0" fillId="0" borderId="0" xfId="1" applyNumberFormat="1" applyFont="1"/>
    <xf numFmtId="43" fontId="0" fillId="0" borderId="0" xfId="1" applyFont="1"/>
    <xf numFmtId="43" fontId="0" fillId="0" borderId="0" xfId="0" applyNumberFormat="1"/>
    <xf numFmtId="166" fontId="0" fillId="0" borderId="0" xfId="3" applyNumberFormat="1" applyFont="1"/>
    <xf numFmtId="167" fontId="0" fillId="0" borderId="0" xfId="3" applyNumberFormat="1" applyFont="1"/>
    <xf numFmtId="0" fontId="4" fillId="0" borderId="0" xfId="0" applyFont="1"/>
    <xf numFmtId="0" fontId="0" fillId="0" borderId="0" xfId="0" applyAlignment="1">
      <alignment horizontal="center"/>
    </xf>
    <xf numFmtId="0" fontId="0" fillId="0" borderId="1" xfId="0" applyBorder="1" applyAlignment="1">
      <alignment horizontal="center" vertical="center" textRotation="90"/>
    </xf>
    <xf numFmtId="0" fontId="0" fillId="0" borderId="2" xfId="0" applyBorder="1" applyAlignment="1">
      <alignment horizontal="center" vertical="center" textRotation="90"/>
    </xf>
    <xf numFmtId="0" fontId="0" fillId="0" borderId="3" xfId="0" applyBorder="1" applyAlignment="1">
      <alignment horizontal="center" vertical="center" textRotation="90"/>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NPV vs Initial Sales Price Per Unit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Sheet1!$B$71:$B$83</c:f>
              <c:numCache>
                <c:formatCode>General</c:formatCode>
                <c:ptCount val="13"/>
                <c:pt idx="0">
                  <c:v>189</c:v>
                </c:pt>
                <c:pt idx="1">
                  <c:v>194</c:v>
                </c:pt>
                <c:pt idx="2">
                  <c:v>199</c:v>
                </c:pt>
                <c:pt idx="3">
                  <c:v>204</c:v>
                </c:pt>
                <c:pt idx="4">
                  <c:v>209</c:v>
                </c:pt>
                <c:pt idx="5">
                  <c:v>214</c:v>
                </c:pt>
                <c:pt idx="6">
                  <c:v>219</c:v>
                </c:pt>
                <c:pt idx="7">
                  <c:v>224</c:v>
                </c:pt>
                <c:pt idx="8">
                  <c:v>229</c:v>
                </c:pt>
                <c:pt idx="9">
                  <c:v>234</c:v>
                </c:pt>
                <c:pt idx="10">
                  <c:v>239</c:v>
                </c:pt>
                <c:pt idx="11">
                  <c:v>244</c:v>
                </c:pt>
                <c:pt idx="12">
                  <c:v>249</c:v>
                </c:pt>
              </c:numCache>
            </c:numRef>
          </c:xVal>
          <c:yVal>
            <c:numRef>
              <c:f>Sheet1!$C$71:$C$83</c:f>
              <c:numCache>
                <c:formatCode>_("$"* #,##0_);_("$"* \(#,##0\);_("$"* "-"??_);_(@_)</c:formatCode>
                <c:ptCount val="13"/>
                <c:pt idx="0">
                  <c:v>33266.537521712366</c:v>
                </c:pt>
                <c:pt idx="1">
                  <c:v>46103.83378223679</c:v>
                </c:pt>
                <c:pt idx="2">
                  <c:v>58941.130042761099</c:v>
                </c:pt>
                <c:pt idx="3">
                  <c:v>71778.426303285465</c:v>
                </c:pt>
                <c:pt idx="4">
                  <c:v>84615.72256380989</c:v>
                </c:pt>
                <c:pt idx="5">
                  <c:v>97453.018824334198</c:v>
                </c:pt>
                <c:pt idx="6">
                  <c:v>110290.31508485856</c:v>
                </c:pt>
                <c:pt idx="7">
                  <c:v>123127.61134538305</c:v>
                </c:pt>
                <c:pt idx="8">
                  <c:v>135964.90760590736</c:v>
                </c:pt>
                <c:pt idx="9">
                  <c:v>148802.20386643172</c:v>
                </c:pt>
                <c:pt idx="10">
                  <c:v>161639.50012695603</c:v>
                </c:pt>
                <c:pt idx="11">
                  <c:v>174476.79638748051</c:v>
                </c:pt>
                <c:pt idx="12">
                  <c:v>187314.09264800488</c:v>
                </c:pt>
              </c:numCache>
            </c:numRef>
          </c:yVal>
          <c:smooth val="0"/>
          <c:extLst>
            <c:ext xmlns:c16="http://schemas.microsoft.com/office/drawing/2014/chart" uri="{C3380CC4-5D6E-409C-BE32-E72D297353CC}">
              <c16:uniqueId val="{00000000-4AE4-4ECC-867A-0B1719713BB5}"/>
            </c:ext>
          </c:extLst>
        </c:ser>
        <c:dLbls>
          <c:showLegendKey val="0"/>
          <c:showVal val="0"/>
          <c:showCatName val="0"/>
          <c:showSerName val="0"/>
          <c:showPercent val="0"/>
          <c:showBubbleSize val="0"/>
        </c:dLbls>
        <c:axId val="321667296"/>
        <c:axId val="321666736"/>
      </c:scatterChart>
      <c:valAx>
        <c:axId val="321667296"/>
        <c:scaling>
          <c:orientation val="minMax"/>
          <c:min val="15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Initial Sales Price Per Unit</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21666736"/>
        <c:crosses val="autoZero"/>
        <c:crossBetween val="midCat"/>
      </c:valAx>
      <c:valAx>
        <c:axId val="32166673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NPV in $10000</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_(&quot;$&quot;* #,##0_);_(&quot;$&quot;* \(#,##0\);_(&quot;$&quot;* &quot;-&quot;??_);_(@_)"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21667296"/>
        <c:crosses val="autoZero"/>
        <c:crossBetween val="midCat"/>
        <c:dispUnits>
          <c:builtInUnit val="tenThousands"/>
        </c:dispUnits>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738498</xdr:colOff>
      <xdr:row>88</xdr:row>
      <xdr:rowOff>35502</xdr:rowOff>
    </xdr:from>
    <xdr:to>
      <xdr:col>3</xdr:col>
      <xdr:colOff>436667</xdr:colOff>
      <xdr:row>102</xdr:row>
      <xdr:rowOff>94384</xdr:rowOff>
    </xdr:to>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711282</xdr:colOff>
      <xdr:row>57</xdr:row>
      <xdr:rowOff>92776</xdr:rowOff>
    </xdr:from>
    <xdr:ext cx="3655374" cy="791688"/>
    <xdr:sp macro="" textlink="">
      <xdr:nvSpPr>
        <xdr:cNvPr id="2" name="TextBox 1">
          <a:extLst>
            <a:ext uri="{FF2B5EF4-FFF2-40B4-BE49-F238E27FC236}">
              <a16:creationId xmlns:a16="http://schemas.microsoft.com/office/drawing/2014/main" id="{2AC1E8B4-BC6F-4A99-9F89-6168D31A9FAC}"/>
            </a:ext>
          </a:extLst>
        </xdr:cNvPr>
        <xdr:cNvSpPr txBox="1"/>
      </xdr:nvSpPr>
      <xdr:spPr>
        <a:xfrm>
          <a:off x="711282" y="11021786"/>
          <a:ext cx="3655374" cy="7916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solidFill>
                <a:schemeClr val="accent1">
                  <a:lumMod val="75000"/>
                </a:schemeClr>
              </a:solidFill>
            </a:rPr>
            <a:t>Rows 57-60 are used to determine the Years to Payback. Try to follow the logic, but, if you don't understand it, you</a:t>
          </a:r>
          <a:r>
            <a:rPr lang="en-US" sz="1100" baseline="0">
              <a:solidFill>
                <a:schemeClr val="accent1">
                  <a:lumMod val="75000"/>
                </a:schemeClr>
              </a:solidFill>
            </a:rPr>
            <a:t> can still figure out what needs to be done to apply the logic when there are more or fewer years in the forecast horizon.</a:t>
          </a:r>
        </a:p>
        <a:p>
          <a:endParaRPr lang="en-US" sz="1100"/>
        </a:p>
      </xdr:txBody>
    </xdr:sp>
    <xdr:clientData/>
  </xdr:oneCellAnchor>
  <xdr:oneCellAnchor>
    <xdr:from>
      <xdr:col>8</xdr:col>
      <xdr:colOff>383474</xdr:colOff>
      <xdr:row>60</xdr:row>
      <xdr:rowOff>136071</xdr:rowOff>
    </xdr:from>
    <xdr:ext cx="3148198" cy="1402612"/>
    <xdr:sp macro="" textlink="">
      <xdr:nvSpPr>
        <xdr:cNvPr id="4" name="TextBox 3">
          <a:extLst>
            <a:ext uri="{FF2B5EF4-FFF2-40B4-BE49-F238E27FC236}">
              <a16:creationId xmlns:a16="http://schemas.microsoft.com/office/drawing/2014/main" id="{6B8F50D5-AAD2-4998-89E7-A7736715C606}"/>
            </a:ext>
          </a:extLst>
        </xdr:cNvPr>
        <xdr:cNvSpPr txBox="1"/>
      </xdr:nvSpPr>
      <xdr:spPr>
        <a:xfrm>
          <a:off x="9611591" y="11640292"/>
          <a:ext cx="3148198" cy="14026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solidFill>
                <a:schemeClr val="accent1">
                  <a:lumMod val="75000"/>
                </a:schemeClr>
              </a:solidFill>
            </a:rPr>
            <a:t>This table was generated using the Data Table command in M.S. Excel. It can be found under the Data Tab:</a:t>
          </a:r>
          <a:r>
            <a:rPr lang="en-US" sz="1100" baseline="0">
              <a:solidFill>
                <a:schemeClr val="accent1">
                  <a:lumMod val="75000"/>
                </a:schemeClr>
              </a:solidFill>
            </a:rPr>
            <a:t> What If Analysis. It's a two-way table. For directions, refer to M.S. Excel, Data Table in Lynda.com. For color coding, see the Home Tab, scroll to Conditional Formatting. For how to use Conditional Formatting, see Lynda.com.</a:t>
          </a:r>
          <a:endParaRPr lang="en-US" sz="1100">
            <a:solidFill>
              <a:schemeClr val="accent1">
                <a:lumMod val="75000"/>
              </a:schemeClr>
            </a:solidFill>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8"/>
  <sheetViews>
    <sheetView tabSelected="1" topLeftCell="A85" zoomScale="154" zoomScaleNormal="154" workbookViewId="0">
      <selection activeCell="J19" sqref="J19"/>
    </sheetView>
  </sheetViews>
  <sheetFormatPr defaultRowHeight="14.4" x14ac:dyDescent="0.3"/>
  <cols>
    <col min="1" max="1" width="46.5546875" customWidth="1"/>
    <col min="2" max="3" width="13.33203125" bestFit="1" customWidth="1"/>
    <col min="4" max="4" width="12.33203125" bestFit="1" customWidth="1"/>
    <col min="5" max="5" width="19.33203125" customWidth="1"/>
    <col min="6" max="6" width="14.5546875" bestFit="1" customWidth="1"/>
    <col min="7" max="7" width="10" bestFit="1" customWidth="1"/>
  </cols>
  <sheetData>
    <row r="1" spans="1:18" ht="18" x14ac:dyDescent="0.35">
      <c r="A1" s="17" t="s">
        <v>51</v>
      </c>
    </row>
    <row r="3" spans="1:18" x14ac:dyDescent="0.3">
      <c r="A3" s="3" t="s">
        <v>0</v>
      </c>
      <c r="E3" s="3" t="s">
        <v>16</v>
      </c>
      <c r="N3" s="18" t="s">
        <v>2</v>
      </c>
      <c r="O3" s="18"/>
      <c r="P3" s="18"/>
      <c r="Q3" s="18"/>
      <c r="R3" s="18"/>
    </row>
    <row r="4" spans="1:18" x14ac:dyDescent="0.3">
      <c r="A4" t="s">
        <v>1</v>
      </c>
      <c r="B4">
        <v>1</v>
      </c>
      <c r="E4" t="s">
        <v>17</v>
      </c>
      <c r="F4" s="11">
        <f>B63</f>
        <v>110290.31508485856</v>
      </c>
      <c r="N4" t="s">
        <v>3</v>
      </c>
      <c r="O4">
        <v>1</v>
      </c>
      <c r="P4">
        <v>2</v>
      </c>
      <c r="Q4">
        <v>3</v>
      </c>
      <c r="R4">
        <v>4</v>
      </c>
    </row>
    <row r="5" spans="1:18" x14ac:dyDescent="0.3">
      <c r="A5" t="s">
        <v>4</v>
      </c>
      <c r="B5" s="2">
        <v>112</v>
      </c>
      <c r="E5" t="s">
        <v>18</v>
      </c>
      <c r="F5" s="1">
        <f t="shared" ref="F5:F7" si="0">B64</f>
        <v>0.27750604062004536</v>
      </c>
      <c r="N5">
        <v>1</v>
      </c>
      <c r="O5">
        <v>1325</v>
      </c>
      <c r="P5">
        <v>1000</v>
      </c>
    </row>
    <row r="6" spans="1:18" x14ac:dyDescent="0.3">
      <c r="A6" t="s">
        <v>5</v>
      </c>
      <c r="B6" s="1">
        <v>0.02</v>
      </c>
      <c r="E6" t="s">
        <v>19</v>
      </c>
      <c r="F6" s="1">
        <f t="shared" si="0"/>
        <v>0.20326326971725583</v>
      </c>
      <c r="N6">
        <v>2</v>
      </c>
      <c r="O6">
        <v>1325</v>
      </c>
      <c r="P6">
        <v>1300</v>
      </c>
    </row>
    <row r="7" spans="1:18" x14ac:dyDescent="0.3">
      <c r="A7" t="s">
        <v>6</v>
      </c>
      <c r="B7" s="2">
        <v>219</v>
      </c>
      <c r="E7" t="s">
        <v>20</v>
      </c>
      <c r="F7" s="12">
        <f t="shared" si="0"/>
        <v>0.39337399120130423</v>
      </c>
      <c r="N7">
        <v>3</v>
      </c>
      <c r="O7">
        <v>1325</v>
      </c>
      <c r="P7">
        <v>1500</v>
      </c>
    </row>
    <row r="8" spans="1:18" x14ac:dyDescent="0.3">
      <c r="A8" t="s">
        <v>7</v>
      </c>
      <c r="B8" s="1">
        <v>3.7499999999999999E-2</v>
      </c>
      <c r="E8" t="s">
        <v>21</v>
      </c>
      <c r="F8" s="14">
        <f>B67</f>
        <v>2.2569153058569529</v>
      </c>
      <c r="N8">
        <v>4</v>
      </c>
      <c r="O8">
        <v>1325</v>
      </c>
      <c r="P8">
        <v>900</v>
      </c>
    </row>
    <row r="9" spans="1:18" x14ac:dyDescent="0.3">
      <c r="A9" t="s">
        <v>8</v>
      </c>
      <c r="B9" s="1">
        <v>-0.08</v>
      </c>
      <c r="E9" t="s">
        <v>22</v>
      </c>
    </row>
    <row r="10" spans="1:18" x14ac:dyDescent="0.3">
      <c r="A10" t="s">
        <v>9</v>
      </c>
      <c r="B10" s="8">
        <v>208000</v>
      </c>
      <c r="E10" t="s">
        <v>23</v>
      </c>
      <c r="F10" t="str">
        <f>IF(F4&gt;0,"Invest","Do Not Invest!!")</f>
        <v>Invest</v>
      </c>
    </row>
    <row r="11" spans="1:18" x14ac:dyDescent="0.3">
      <c r="A11" t="s">
        <v>10</v>
      </c>
      <c r="B11" s="8">
        <v>12000</v>
      </c>
    </row>
    <row r="12" spans="1:18" x14ac:dyDescent="0.3">
      <c r="A12" t="s">
        <v>11</v>
      </c>
      <c r="B12" s="8">
        <v>27000</v>
      </c>
    </row>
    <row r="13" spans="1:18" x14ac:dyDescent="0.3">
      <c r="A13" t="s">
        <v>12</v>
      </c>
      <c r="B13" s="1">
        <v>0.115</v>
      </c>
    </row>
    <row r="14" spans="1:18" x14ac:dyDescent="0.3">
      <c r="A14" t="s">
        <v>13</v>
      </c>
      <c r="B14" s="1">
        <v>1</v>
      </c>
    </row>
    <row r="15" spans="1:18" x14ac:dyDescent="0.3">
      <c r="A15" t="s">
        <v>14</v>
      </c>
      <c r="B15" s="1">
        <v>0.38200000000000001</v>
      </c>
    </row>
    <row r="16" spans="1:18" x14ac:dyDescent="0.3">
      <c r="A16" t="s">
        <v>15</v>
      </c>
      <c r="B16" s="1">
        <v>0.1075</v>
      </c>
    </row>
    <row r="17" spans="1:7" x14ac:dyDescent="0.3">
      <c r="A17" t="s">
        <v>30</v>
      </c>
      <c r="B17" s="8">
        <v>28000</v>
      </c>
    </row>
    <row r="22" spans="1:7" x14ac:dyDescent="0.3">
      <c r="A22" s="3" t="s">
        <v>24</v>
      </c>
    </row>
    <row r="23" spans="1:7" x14ac:dyDescent="0.3">
      <c r="B23">
        <v>0</v>
      </c>
      <c r="C23">
        <v>1</v>
      </c>
      <c r="D23">
        <v>2</v>
      </c>
      <c r="E23">
        <v>3</v>
      </c>
      <c r="F23">
        <v>4</v>
      </c>
    </row>
    <row r="24" spans="1:7" x14ac:dyDescent="0.3">
      <c r="A24" t="str">
        <f>A10</f>
        <v>Investment in Machinery</v>
      </c>
      <c r="B24" s="5">
        <f>B10</f>
        <v>208000</v>
      </c>
    </row>
    <row r="25" spans="1:7" x14ac:dyDescent="0.3">
      <c r="A25" t="s">
        <v>10</v>
      </c>
      <c r="B25" s="5">
        <f t="shared" ref="B25:B26" si="1">B11</f>
        <v>12000</v>
      </c>
    </row>
    <row r="26" spans="1:7" x14ac:dyDescent="0.3">
      <c r="A26" t="s">
        <v>11</v>
      </c>
      <c r="B26" s="5">
        <f t="shared" si="1"/>
        <v>27000</v>
      </c>
    </row>
    <row r="27" spans="1:7" x14ac:dyDescent="0.3">
      <c r="A27" t="s">
        <v>25</v>
      </c>
      <c r="B27" s="7">
        <f>SUM(B24:B26)</f>
        <v>247000</v>
      </c>
    </row>
    <row r="29" spans="1:7" x14ac:dyDescent="0.3">
      <c r="A29" t="s">
        <v>26</v>
      </c>
      <c r="C29">
        <v>0.33329999999999999</v>
      </c>
      <c r="D29">
        <v>0.44450000000000001</v>
      </c>
      <c r="E29">
        <v>0.14810000000000001</v>
      </c>
      <c r="F29">
        <v>7.4099999999999999E-2</v>
      </c>
      <c r="G29" s="4"/>
    </row>
    <row r="30" spans="1:7" x14ac:dyDescent="0.3">
      <c r="A30" t="s">
        <v>27</v>
      </c>
      <c r="C30" s="5">
        <f>C29*$B27</f>
        <v>82325.099999999991</v>
      </c>
      <c r="D30" s="5">
        <f t="shared" ref="D30:F30" si="2">D29*$B27</f>
        <v>109791.5</v>
      </c>
      <c r="E30" s="5">
        <f t="shared" si="2"/>
        <v>36580.700000000004</v>
      </c>
      <c r="F30" s="5">
        <f t="shared" si="2"/>
        <v>18302.7</v>
      </c>
      <c r="G30" s="5"/>
    </row>
    <row r="31" spans="1:7" x14ac:dyDescent="0.3">
      <c r="A31" t="s">
        <v>28</v>
      </c>
      <c r="C31" s="5">
        <f>B27-C30</f>
        <v>164674.90000000002</v>
      </c>
      <c r="D31" s="5">
        <f>C31-D30</f>
        <v>54883.400000000023</v>
      </c>
      <c r="E31" s="5">
        <f t="shared" ref="E31:F31" si="3">D31-E30</f>
        <v>18302.700000000019</v>
      </c>
      <c r="F31" s="5">
        <f t="shared" si="3"/>
        <v>0</v>
      </c>
    </row>
    <row r="32" spans="1:7" x14ac:dyDescent="0.3">
      <c r="A32" t="s">
        <v>29</v>
      </c>
      <c r="F32" s="5">
        <f>B17</f>
        <v>28000</v>
      </c>
    </row>
    <row r="33" spans="1:6" x14ac:dyDescent="0.3">
      <c r="A33" t="s">
        <v>31</v>
      </c>
      <c r="F33" s="5">
        <f>F32-F31</f>
        <v>28000</v>
      </c>
    </row>
    <row r="34" spans="1:6" x14ac:dyDescent="0.3">
      <c r="A34" t="s">
        <v>32</v>
      </c>
      <c r="F34" s="6">
        <f>B15</f>
        <v>0.38200000000000001</v>
      </c>
    </row>
    <row r="35" spans="1:6" x14ac:dyDescent="0.3">
      <c r="A35" t="s">
        <v>33</v>
      </c>
      <c r="F35" s="5">
        <f>F33*F34</f>
        <v>10696</v>
      </c>
    </row>
    <row r="37" spans="1:6" x14ac:dyDescent="0.3">
      <c r="A37" t="s">
        <v>34</v>
      </c>
      <c r="B37" s="8">
        <f>$B13*C42</f>
        <v>33370.125</v>
      </c>
      <c r="C37" s="8">
        <f t="shared" ref="C37:F37" si="4">$B13*D42</f>
        <v>34621.504687500004</v>
      </c>
      <c r="D37" s="8">
        <f t="shared" si="4"/>
        <v>35919.811113281256</v>
      </c>
      <c r="E37" s="8">
        <f t="shared" si="4"/>
        <v>33046.226224218757</v>
      </c>
      <c r="F37" s="8">
        <f t="shared" si="4"/>
        <v>0</v>
      </c>
    </row>
    <row r="38" spans="1:6" x14ac:dyDescent="0.3">
      <c r="A38" t="s">
        <v>35</v>
      </c>
      <c r="B38" s="5">
        <f>0-B37</f>
        <v>-33370.125</v>
      </c>
      <c r="C38" s="5">
        <f>B37-C37</f>
        <v>-1251.3796875000044</v>
      </c>
      <c r="D38" s="5">
        <f>C37-D37</f>
        <v>-1298.3064257812512</v>
      </c>
      <c r="E38" s="5">
        <f>D37-E37</f>
        <v>2873.5848890624984</v>
      </c>
      <c r="F38" s="5">
        <f>(E37-F37)*B14</f>
        <v>33046.226224218757</v>
      </c>
    </row>
    <row r="40" spans="1:6" x14ac:dyDescent="0.3">
      <c r="A40" t="s">
        <v>36</v>
      </c>
      <c r="C40">
        <f>VLOOKUP(C23,SalesVol,$B4+1)</f>
        <v>1325</v>
      </c>
      <c r="D40">
        <f>VLOOKUP(D23,SalesVol,$B4+1)</f>
        <v>1325</v>
      </c>
      <c r="E40">
        <f>VLOOKUP(E23,SalesVol,$B4+1)</f>
        <v>1325</v>
      </c>
      <c r="F40">
        <f>VLOOKUP(F23,SalesVol,$B4+1)</f>
        <v>1325</v>
      </c>
    </row>
    <row r="41" spans="1:6" x14ac:dyDescent="0.3">
      <c r="A41" t="s">
        <v>37</v>
      </c>
      <c r="C41" s="5">
        <f>B7</f>
        <v>219</v>
      </c>
      <c r="D41" s="5">
        <f>C41*(1+$B8)</f>
        <v>227.21250000000001</v>
      </c>
      <c r="E41" s="5">
        <f>D41*(1+$B8)</f>
        <v>235.73296875000003</v>
      </c>
      <c r="F41" s="10">
        <f>E41*(1+B9)</f>
        <v>216.87433125000004</v>
      </c>
    </row>
    <row r="42" spans="1:6" x14ac:dyDescent="0.3">
      <c r="A42" t="s">
        <v>38</v>
      </c>
      <c r="C42" s="5">
        <f>C40*C41</f>
        <v>290175</v>
      </c>
      <c r="D42" s="5">
        <f t="shared" ref="D42:F42" si="5">D40*D41</f>
        <v>301056.5625</v>
      </c>
      <c r="E42" s="5">
        <f t="shared" si="5"/>
        <v>312346.18359375006</v>
      </c>
      <c r="F42" s="5">
        <f t="shared" si="5"/>
        <v>287358.48890625004</v>
      </c>
    </row>
    <row r="43" spans="1:6" x14ac:dyDescent="0.3">
      <c r="A43" t="s">
        <v>39</v>
      </c>
      <c r="C43" s="5">
        <f>-B5</f>
        <v>-112</v>
      </c>
      <c r="D43" s="5">
        <f>C43*(1+$B6)</f>
        <v>-114.24000000000001</v>
      </c>
      <c r="E43" s="5">
        <f t="shared" ref="E43:F43" si="6">D43*(1+$B6)</f>
        <v>-116.52480000000001</v>
      </c>
      <c r="F43" s="5">
        <f t="shared" si="6"/>
        <v>-118.85529600000001</v>
      </c>
    </row>
    <row r="44" spans="1:6" x14ac:dyDescent="0.3">
      <c r="A44" t="s">
        <v>41</v>
      </c>
      <c r="C44" s="5">
        <f>C40*C43</f>
        <v>-148400</v>
      </c>
      <c r="D44" s="5">
        <f t="shared" ref="D44:F44" si="7">D40*D43</f>
        <v>-151368</v>
      </c>
      <c r="E44" s="5">
        <f t="shared" si="7"/>
        <v>-154395.36000000002</v>
      </c>
      <c r="F44" s="5">
        <f t="shared" si="7"/>
        <v>-157483.2672</v>
      </c>
    </row>
    <row r="45" spans="1:6" x14ac:dyDescent="0.3">
      <c r="A45" t="s">
        <v>40</v>
      </c>
      <c r="C45" s="5">
        <f>-C30</f>
        <v>-82325.099999999991</v>
      </c>
      <c r="D45" s="5">
        <f t="shared" ref="D45:F45" si="8">-D30</f>
        <v>-109791.5</v>
      </c>
      <c r="E45" s="5">
        <f t="shared" si="8"/>
        <v>-36580.700000000004</v>
      </c>
      <c r="F45" s="5">
        <f t="shared" si="8"/>
        <v>-18302.7</v>
      </c>
    </row>
    <row r="46" spans="1:6" x14ac:dyDescent="0.3">
      <c r="A46" t="s">
        <v>42</v>
      </c>
      <c r="C46" s="5">
        <f>C42+C44+C45</f>
        <v>59449.900000000009</v>
      </c>
      <c r="D46" s="5">
        <f t="shared" ref="D46:F46" si="9">D42+D44+D45</f>
        <v>39897.0625</v>
      </c>
      <c r="E46" s="5">
        <f t="shared" si="9"/>
        <v>121370.12359375003</v>
      </c>
      <c r="F46" s="5">
        <f t="shared" si="9"/>
        <v>111572.52170625005</v>
      </c>
    </row>
    <row r="47" spans="1:6" x14ac:dyDescent="0.3">
      <c r="A47" t="s">
        <v>43</v>
      </c>
      <c r="C47" s="5">
        <f>-$B15*C46</f>
        <v>-22709.861800000002</v>
      </c>
      <c r="D47" s="5">
        <f t="shared" ref="D47:F47" si="10">-$B15*D46</f>
        <v>-15240.677874999999</v>
      </c>
      <c r="E47" s="5">
        <f t="shared" si="10"/>
        <v>-46363.387212812515</v>
      </c>
      <c r="F47" s="5">
        <f t="shared" si="10"/>
        <v>-42620.703291787519</v>
      </c>
    </row>
    <row r="48" spans="1:6" x14ac:dyDescent="0.3">
      <c r="A48" t="s">
        <v>44</v>
      </c>
      <c r="C48" s="5">
        <f>C46+C47</f>
        <v>36740.03820000001</v>
      </c>
      <c r="D48" s="5">
        <f t="shared" ref="D48:F48" si="11">D46+D47</f>
        <v>24656.384624999999</v>
      </c>
      <c r="E48" s="5">
        <f t="shared" si="11"/>
        <v>75006.736380937509</v>
      </c>
      <c r="F48" s="5">
        <f t="shared" si="11"/>
        <v>68951.818414462527</v>
      </c>
    </row>
    <row r="49" spans="1:7" x14ac:dyDescent="0.3">
      <c r="A49" t="s">
        <v>40</v>
      </c>
      <c r="C49" s="5">
        <f>-C45</f>
        <v>82325.099999999991</v>
      </c>
      <c r="D49" s="5">
        <f t="shared" ref="D49:F49" si="12">-D45</f>
        <v>109791.5</v>
      </c>
      <c r="E49" s="5">
        <f t="shared" si="12"/>
        <v>36580.700000000004</v>
      </c>
      <c r="F49" s="5">
        <f t="shared" si="12"/>
        <v>18302.7</v>
      </c>
    </row>
    <row r="50" spans="1:7" x14ac:dyDescent="0.3">
      <c r="A50" t="s">
        <v>45</v>
      </c>
      <c r="C50" s="5">
        <f>C48+C49</f>
        <v>119065.1382</v>
      </c>
      <c r="D50" s="5">
        <f t="shared" ref="D50:F50" si="13">D48+D49</f>
        <v>134447.88462500001</v>
      </c>
      <c r="E50" s="5">
        <f t="shared" si="13"/>
        <v>111587.43638093752</v>
      </c>
      <c r="F50" s="5">
        <f t="shared" si="13"/>
        <v>87254.518414462524</v>
      </c>
    </row>
    <row r="52" spans="1:7" x14ac:dyDescent="0.3">
      <c r="A52" t="s">
        <v>35</v>
      </c>
      <c r="B52" s="5">
        <f>B38</f>
        <v>-33370.125</v>
      </c>
      <c r="C52" s="5">
        <f t="shared" ref="C52:F52" si="14">C38</f>
        <v>-1251.3796875000044</v>
      </c>
      <c r="D52" s="5">
        <f t="shared" si="14"/>
        <v>-1298.3064257812512</v>
      </c>
      <c r="E52" s="5">
        <f t="shared" si="14"/>
        <v>2873.5848890624984</v>
      </c>
      <c r="F52" s="5">
        <f t="shared" si="14"/>
        <v>33046.226224218757</v>
      </c>
    </row>
    <row r="54" spans="1:7" x14ac:dyDescent="0.3">
      <c r="A54" t="s">
        <v>46</v>
      </c>
      <c r="F54" s="5">
        <f>F32-F35</f>
        <v>17304</v>
      </c>
    </row>
    <row r="56" spans="1:7" x14ac:dyDescent="0.3">
      <c r="A56" t="s">
        <v>47</v>
      </c>
      <c r="B56" s="5">
        <f>-B27+B50+B52+B54</f>
        <v>-280370.125</v>
      </c>
      <c r="C56" s="5">
        <f t="shared" ref="C56:F56" si="15">-C27+C50+C52+C54</f>
        <v>117813.7585125</v>
      </c>
      <c r="D56" s="5">
        <f t="shared" si="15"/>
        <v>133149.57819921875</v>
      </c>
      <c r="E56" s="5">
        <f t="shared" si="15"/>
        <v>114461.02127000003</v>
      </c>
      <c r="F56" s="5">
        <f t="shared" si="15"/>
        <v>137604.7446386813</v>
      </c>
    </row>
    <row r="57" spans="1:7" x14ac:dyDescent="0.3">
      <c r="A57" t="s">
        <v>48</v>
      </c>
      <c r="B57" s="5">
        <f>B56</f>
        <v>-280370.125</v>
      </c>
      <c r="C57" s="5">
        <f>B57+C56</f>
        <v>-162556.3664875</v>
      </c>
      <c r="D57" s="5">
        <f t="shared" ref="D57:F57" si="16">C57+D56</f>
        <v>-29406.788288281241</v>
      </c>
      <c r="E57" s="5">
        <f t="shared" si="16"/>
        <v>85054.232981718786</v>
      </c>
      <c r="F57" s="5">
        <f t="shared" si="16"/>
        <v>222658.97762040008</v>
      </c>
    </row>
    <row r="58" spans="1:7" x14ac:dyDescent="0.3">
      <c r="B58" s="5"/>
      <c r="C58" s="13">
        <f t="shared" ref="C58:D58" si="17">IF(AND(C57&gt;0,B57&lt;0),B23,0)</f>
        <v>0</v>
      </c>
      <c r="D58" s="13">
        <f t="shared" si="17"/>
        <v>0</v>
      </c>
      <c r="E58" s="13">
        <f>IF(AND(E57&gt;0,D57&lt;0),D23,0)</f>
        <v>2</v>
      </c>
      <c r="F58" s="13">
        <f>IF(AND(F57&gt;0,E57&lt;0),E23,0)</f>
        <v>0</v>
      </c>
      <c r="G58" s="14">
        <f>MAX(C58:F58)</f>
        <v>2</v>
      </c>
    </row>
    <row r="59" spans="1:7" x14ac:dyDescent="0.3">
      <c r="B59" s="5"/>
      <c r="C59" s="13">
        <f t="shared" ref="C59:E59" si="18">IF(C58&gt;0,ABS(B57)/C56,0)</f>
        <v>0</v>
      </c>
      <c r="D59" s="13">
        <f t="shared" si="18"/>
        <v>0</v>
      </c>
      <c r="E59" s="13">
        <f t="shared" si="18"/>
        <v>0.25691530585695282</v>
      </c>
      <c r="F59" s="13">
        <f>IF(F58&gt;0,ABS(E57)/F56,0)</f>
        <v>0</v>
      </c>
    </row>
    <row r="60" spans="1:7" x14ac:dyDescent="0.3">
      <c r="B60" s="5"/>
      <c r="C60" s="13">
        <f>C58+C59</f>
        <v>0</v>
      </c>
      <c r="D60" s="13">
        <f t="shared" ref="D60:F60" si="19">D58+D59</f>
        <v>0</v>
      </c>
      <c r="E60" s="13">
        <f t="shared" si="19"/>
        <v>2.2569153058569529</v>
      </c>
      <c r="F60" s="13">
        <f t="shared" si="19"/>
        <v>0</v>
      </c>
      <c r="G60" s="14">
        <f>MAX(C60:F60)</f>
        <v>2.2569153058569529</v>
      </c>
    </row>
    <row r="61" spans="1:7" x14ac:dyDescent="0.3">
      <c r="B61" s="5"/>
      <c r="C61" s="5"/>
      <c r="D61" s="5"/>
      <c r="E61" s="5"/>
      <c r="F61" s="5"/>
    </row>
    <row r="63" spans="1:7" x14ac:dyDescent="0.3">
      <c r="A63" t="s">
        <v>17</v>
      </c>
      <c r="B63" s="11">
        <f>NPV(B16,C56:F56)+B56</f>
        <v>110290.31508485856</v>
      </c>
    </row>
    <row r="64" spans="1:7" x14ac:dyDescent="0.3">
      <c r="A64" t="s">
        <v>18</v>
      </c>
      <c r="B64" s="6">
        <f>IRR(B56:F56)</f>
        <v>0.27750604062004536</v>
      </c>
    </row>
    <row r="65" spans="1:21" x14ac:dyDescent="0.3">
      <c r="A65" t="s">
        <v>19</v>
      </c>
      <c r="B65" s="6">
        <f>MIRR(B56:F56,B16,B16)</f>
        <v>0.20326326971725583</v>
      </c>
    </row>
    <row r="66" spans="1:21" x14ac:dyDescent="0.3">
      <c r="A66" t="s">
        <v>20</v>
      </c>
      <c r="B66" s="9">
        <f>B63/ABS(B56)</f>
        <v>0.39337399120130423</v>
      </c>
    </row>
    <row r="67" spans="1:21" x14ac:dyDescent="0.3">
      <c r="A67" t="s">
        <v>21</v>
      </c>
      <c r="B67" s="14">
        <f>G60</f>
        <v>2.2569153058569529</v>
      </c>
    </row>
    <row r="68" spans="1:21" ht="15" thickBot="1" x14ac:dyDescent="0.35"/>
    <row r="69" spans="1:21" ht="15" thickBot="1" x14ac:dyDescent="0.35">
      <c r="B69" t="s">
        <v>49</v>
      </c>
      <c r="C69" t="s">
        <v>17</v>
      </c>
      <c r="G69" s="22" t="s">
        <v>17</v>
      </c>
      <c r="H69" s="23"/>
      <c r="I69" s="23"/>
      <c r="J69" s="23"/>
      <c r="K69" s="23"/>
      <c r="L69" s="23"/>
      <c r="M69" s="23"/>
      <c r="N69" s="23"/>
      <c r="O69" s="23"/>
      <c r="P69" s="23"/>
      <c r="Q69" s="23"/>
      <c r="R69" s="23"/>
      <c r="S69" s="23"/>
      <c r="T69" s="23"/>
      <c r="U69" s="24"/>
    </row>
    <row r="70" spans="1:21" ht="15" thickBot="1" x14ac:dyDescent="0.35">
      <c r="C70" s="11">
        <f>B63</f>
        <v>110290.31508485856</v>
      </c>
      <c r="F70" s="11">
        <f>F4</f>
        <v>110290.31508485856</v>
      </c>
      <c r="G70" s="1">
        <v>0.09</v>
      </c>
      <c r="H70" s="1">
        <v>9.2499999999999999E-2</v>
      </c>
      <c r="I70" s="1">
        <v>9.5000000000000001E-2</v>
      </c>
      <c r="J70" s="1">
        <v>9.7500000000000003E-2</v>
      </c>
      <c r="K70" s="1">
        <v>0.1</v>
      </c>
      <c r="L70" s="1">
        <v>0.10249999999999999</v>
      </c>
      <c r="M70" s="1">
        <v>0.105</v>
      </c>
      <c r="N70" s="1">
        <v>0.1075</v>
      </c>
      <c r="O70" s="1">
        <v>0.11</v>
      </c>
      <c r="P70" s="1">
        <v>0.1125</v>
      </c>
      <c r="Q70" s="1">
        <v>0.115</v>
      </c>
      <c r="R70" s="1">
        <v>0.11749999999999999</v>
      </c>
      <c r="S70" s="1">
        <v>0.12</v>
      </c>
      <c r="T70" s="1">
        <v>0.1225</v>
      </c>
      <c r="U70" s="1">
        <v>0.125</v>
      </c>
    </row>
    <row r="71" spans="1:21" x14ac:dyDescent="0.3">
      <c r="B71">
        <v>189</v>
      </c>
      <c r="C71" s="8">
        <f t="dataTable" ref="C71:C83" dt2D="0" dtr="0" r1="B7"/>
        <v>33266.537521712366</v>
      </c>
      <c r="E71" s="19" t="s">
        <v>50</v>
      </c>
      <c r="F71" s="15">
        <v>0.08</v>
      </c>
      <c r="G71" s="16">
        <f t="dataTable" ref="G71:U85" dt2D="1" dtr="1" r1="B16" r2="B13" ca="1"/>
        <v>128690.57181144552</v>
      </c>
      <c r="H71" s="16">
        <v>126503.61298870499</v>
      </c>
      <c r="I71" s="16">
        <v>124336.15330348822</v>
      </c>
      <c r="J71" s="16">
        <v>122187.96309599519</v>
      </c>
      <c r="K71" s="16">
        <v>120058.81601124833</v>
      </c>
      <c r="L71" s="16">
        <v>117948.48894334806</v>
      </c>
      <c r="M71" s="16">
        <v>115856.76198079938</v>
      </c>
      <c r="N71" s="16">
        <v>113783.41835289227</v>
      </c>
      <c r="O71" s="16">
        <v>111728.24437710771</v>
      </c>
      <c r="P71" s="16">
        <v>109691.0294075312</v>
      </c>
      <c r="Q71" s="16">
        <v>107671.5657842494</v>
      </c>
      <c r="R71" s="16">
        <v>105669.64878371067</v>
      </c>
      <c r="S71" s="16">
        <v>103685.07657002838</v>
      </c>
      <c r="T71" s="16">
        <v>101717.65014720679</v>
      </c>
      <c r="U71" s="16">
        <v>99767.173312269268</v>
      </c>
    </row>
    <row r="72" spans="1:21" x14ac:dyDescent="0.3">
      <c r="B72">
        <v>194</v>
      </c>
      <c r="C72" s="8">
        <v>46103.83378223679</v>
      </c>
      <c r="E72" s="20"/>
      <c r="F72" s="15">
        <v>8.5000000000000006E-2</v>
      </c>
      <c r="G72" s="16">
        <v>128256.60556208919</v>
      </c>
      <c r="H72" s="16">
        <v>126060.03250280506</v>
      </c>
      <c r="I72" s="16">
        <v>123883.06822341186</v>
      </c>
      <c r="J72" s="16">
        <v>121725.48157403158</v>
      </c>
      <c r="K72" s="16">
        <v>119587.04473316477</v>
      </c>
      <c r="L72" s="16">
        <v>117467.53315152123</v>
      </c>
      <c r="M72" s="16">
        <v>115366.72549693083</v>
      </c>
      <c r="N72" s="16">
        <v>113284.40360031603</v>
      </c>
      <c r="O72" s="16">
        <v>111220.35240269848</v>
      </c>
      <c r="P72" s="16">
        <v>109174.35990322108</v>
      </c>
      <c r="Q72" s="16">
        <v>107146.21710816096</v>
      </c>
      <c r="R72" s="16">
        <v>105135.71798091452</v>
      </c>
      <c r="S72" s="16">
        <v>103142.65939293132</v>
      </c>
      <c r="T72" s="16">
        <v>101166.84107558033</v>
      </c>
      <c r="U72" s="16">
        <v>99208.065572923166</v>
      </c>
    </row>
    <row r="73" spans="1:21" x14ac:dyDescent="0.3">
      <c r="B73">
        <v>199</v>
      </c>
      <c r="C73" s="8">
        <v>58941.130042761099</v>
      </c>
      <c r="E73" s="20"/>
      <c r="F73" s="15">
        <v>0.09</v>
      </c>
      <c r="G73" s="16">
        <v>127822.63931273279</v>
      </c>
      <c r="H73" s="16">
        <v>125616.45201690512</v>
      </c>
      <c r="I73" s="16">
        <v>123429.98314333556</v>
      </c>
      <c r="J73" s="16">
        <v>121263.00005206798</v>
      </c>
      <c r="K73" s="16">
        <v>119115.2734550811</v>
      </c>
      <c r="L73" s="16">
        <v>116986.57735969429</v>
      </c>
      <c r="M73" s="16">
        <v>114876.68901306222</v>
      </c>
      <c r="N73" s="16">
        <v>112785.38884773978</v>
      </c>
      <c r="O73" s="16">
        <v>110712.46042828925</v>
      </c>
      <c r="P73" s="16">
        <v>108657.69039891096</v>
      </c>
      <c r="Q73" s="16">
        <v>106620.86843207263</v>
      </c>
      <c r="R73" s="16">
        <v>104601.78717811825</v>
      </c>
      <c r="S73" s="16">
        <v>102600.24221583433</v>
      </c>
      <c r="T73" s="16">
        <v>100616.03200395388</v>
      </c>
      <c r="U73" s="16">
        <v>98648.957833577006</v>
      </c>
    </row>
    <row r="74" spans="1:21" x14ac:dyDescent="0.3">
      <c r="B74">
        <v>204</v>
      </c>
      <c r="C74" s="8">
        <v>71778.426303285465</v>
      </c>
      <c r="E74" s="20"/>
      <c r="F74" s="15">
        <v>9.5000000000000001E-2</v>
      </c>
      <c r="G74" s="16">
        <v>127388.67306337645</v>
      </c>
      <c r="H74" s="16">
        <v>125172.87153100513</v>
      </c>
      <c r="I74" s="16">
        <v>122976.8980632592</v>
      </c>
      <c r="J74" s="16">
        <v>120800.51853010443</v>
      </c>
      <c r="K74" s="16">
        <v>118643.50217699754</v>
      </c>
      <c r="L74" s="16">
        <v>116505.62156786746</v>
      </c>
      <c r="M74" s="16">
        <v>114386.65252919373</v>
      </c>
      <c r="N74" s="16">
        <v>112286.3740951636</v>
      </c>
      <c r="O74" s="16">
        <v>110204.56845388009</v>
      </c>
      <c r="P74" s="16">
        <v>108141.02089460089</v>
      </c>
      <c r="Q74" s="16">
        <v>106095.51975598431</v>
      </c>
      <c r="R74" s="16">
        <v>104067.8563753221</v>
      </c>
      <c r="S74" s="16">
        <v>102057.82503873721</v>
      </c>
      <c r="T74" s="16">
        <v>100065.22293232748</v>
      </c>
      <c r="U74" s="16">
        <v>98089.850094230846</v>
      </c>
    </row>
    <row r="75" spans="1:21" x14ac:dyDescent="0.3">
      <c r="B75">
        <v>209</v>
      </c>
      <c r="C75" s="8">
        <v>84615.72256380989</v>
      </c>
      <c r="E75" s="20"/>
      <c r="F75" s="15">
        <v>0.1</v>
      </c>
      <c r="G75" s="16">
        <v>126954.70681402012</v>
      </c>
      <c r="H75" s="16">
        <v>124729.29104510514</v>
      </c>
      <c r="I75" s="16">
        <v>122523.81298318284</v>
      </c>
      <c r="J75" s="16">
        <v>120338.03700814082</v>
      </c>
      <c r="K75" s="16">
        <v>118171.73089891393</v>
      </c>
      <c r="L75" s="16">
        <v>116024.66577604058</v>
      </c>
      <c r="M75" s="16">
        <v>113896.61604532506</v>
      </c>
      <c r="N75" s="16">
        <v>111787.35934258736</v>
      </c>
      <c r="O75" s="16">
        <v>109696.6764794708</v>
      </c>
      <c r="P75" s="16">
        <v>107624.35139029077</v>
      </c>
      <c r="Q75" s="16">
        <v>105570.17107989587</v>
      </c>
      <c r="R75" s="16">
        <v>103533.92557252583</v>
      </c>
      <c r="S75" s="16">
        <v>101515.40786164021</v>
      </c>
      <c r="T75" s="16">
        <v>99514.413860701025</v>
      </c>
      <c r="U75" s="16">
        <v>97530.742354884685</v>
      </c>
    </row>
    <row r="76" spans="1:21" x14ac:dyDescent="0.3">
      <c r="B76">
        <v>214</v>
      </c>
      <c r="C76" s="8">
        <v>97453.018824334198</v>
      </c>
      <c r="E76" s="20"/>
      <c r="F76" s="15">
        <v>0.105</v>
      </c>
      <c r="G76" s="16">
        <v>126520.74056466372</v>
      </c>
      <c r="H76" s="16">
        <v>124285.71055920527</v>
      </c>
      <c r="I76" s="16">
        <v>122070.72790310648</v>
      </c>
      <c r="J76" s="16">
        <v>119875.55548617727</v>
      </c>
      <c r="K76" s="16">
        <v>117699.95962083043</v>
      </c>
      <c r="L76" s="16">
        <v>115543.7099842137</v>
      </c>
      <c r="M76" s="16">
        <v>113406.57956145651</v>
      </c>
      <c r="N76" s="16">
        <v>111288.34459001105</v>
      </c>
      <c r="O76" s="16">
        <v>109188.78450506157</v>
      </c>
      <c r="P76" s="16">
        <v>107107.68188598071</v>
      </c>
      <c r="Q76" s="16">
        <v>105044.82240380748</v>
      </c>
      <c r="R76" s="16">
        <v>102999.99476972962</v>
      </c>
      <c r="S76" s="16">
        <v>100972.99068454315</v>
      </c>
      <c r="T76" s="16">
        <v>98963.60478907451</v>
      </c>
      <c r="U76" s="16">
        <v>96971.634615538642</v>
      </c>
    </row>
    <row r="77" spans="1:21" x14ac:dyDescent="0.3">
      <c r="B77">
        <v>219</v>
      </c>
      <c r="C77" s="8">
        <v>110290.31508485856</v>
      </c>
      <c r="E77" s="20"/>
      <c r="F77" s="15">
        <v>0.11</v>
      </c>
      <c r="G77" s="16">
        <v>126086.77431530732</v>
      </c>
      <c r="H77" s="16">
        <v>123842.13007330522</v>
      </c>
      <c r="I77" s="16">
        <v>121617.64282303007</v>
      </c>
      <c r="J77" s="16">
        <v>119413.0739642136</v>
      </c>
      <c r="K77" s="16">
        <v>117228.18834274675</v>
      </c>
      <c r="L77" s="16">
        <v>115062.75419238681</v>
      </c>
      <c r="M77" s="16">
        <v>112916.54307758796</v>
      </c>
      <c r="N77" s="16">
        <v>110789.32983743481</v>
      </c>
      <c r="O77" s="16">
        <v>108680.89253065235</v>
      </c>
      <c r="P77" s="16">
        <v>106591.01238167047</v>
      </c>
      <c r="Q77" s="16">
        <v>104519.47372771922</v>
      </c>
      <c r="R77" s="16">
        <v>102466.06396693335</v>
      </c>
      <c r="S77" s="16">
        <v>100430.57350744604</v>
      </c>
      <c r="T77" s="16">
        <v>98412.795717448113</v>
      </c>
      <c r="U77" s="16">
        <v>96412.526876192424</v>
      </c>
    </row>
    <row r="78" spans="1:21" x14ac:dyDescent="0.3">
      <c r="B78">
        <v>224</v>
      </c>
      <c r="C78" s="8">
        <v>123127.61134538305</v>
      </c>
      <c r="E78" s="20"/>
      <c r="F78" s="15">
        <v>0.115</v>
      </c>
      <c r="G78" s="16">
        <v>125652.80806595105</v>
      </c>
      <c r="H78" s="16">
        <v>123398.54958740534</v>
      </c>
      <c r="I78" s="16">
        <v>121164.55774295377</v>
      </c>
      <c r="J78" s="16">
        <v>118950.59244225005</v>
      </c>
      <c r="K78" s="16">
        <v>116756.4170646632</v>
      </c>
      <c r="L78" s="16">
        <v>114581.79840055999</v>
      </c>
      <c r="M78" s="16">
        <v>112426.50659371936</v>
      </c>
      <c r="N78" s="16">
        <v>110290.31508485856</v>
      </c>
      <c r="O78" s="16">
        <v>108173.00055624312</v>
      </c>
      <c r="P78" s="16">
        <v>106074.34287736047</v>
      </c>
      <c r="Q78" s="16">
        <v>103994.12505163084</v>
      </c>
      <c r="R78" s="16">
        <v>101932.13316413719</v>
      </c>
      <c r="S78" s="16">
        <v>99888.15633034904</v>
      </c>
      <c r="T78" s="16">
        <v>97861.986645821657</v>
      </c>
      <c r="U78" s="16">
        <v>95853.419136846322</v>
      </c>
    </row>
    <row r="79" spans="1:21" x14ac:dyDescent="0.3">
      <c r="B79">
        <v>229</v>
      </c>
      <c r="C79" s="8">
        <v>135964.90760590736</v>
      </c>
      <c r="E79" s="20"/>
      <c r="F79" s="15">
        <v>0.12</v>
      </c>
      <c r="G79" s="16">
        <v>125218.84181659465</v>
      </c>
      <c r="H79" s="16">
        <v>122954.9691015053</v>
      </c>
      <c r="I79" s="16">
        <v>120711.47266287741</v>
      </c>
      <c r="J79" s="16">
        <v>118488.11092028645</v>
      </c>
      <c r="K79" s="16">
        <v>116284.64578657958</v>
      </c>
      <c r="L79" s="16">
        <v>114100.8426087331</v>
      </c>
      <c r="M79" s="16">
        <v>111936.47010985081</v>
      </c>
      <c r="N79" s="16">
        <v>109791.30033228232</v>
      </c>
      <c r="O79" s="16">
        <v>107665.10858183389</v>
      </c>
      <c r="P79" s="16">
        <v>105557.67337305035</v>
      </c>
      <c r="Q79" s="16">
        <v>103468.77637554239</v>
      </c>
      <c r="R79" s="16">
        <v>101398.20236134098</v>
      </c>
      <c r="S79" s="16">
        <v>99345.739153251983</v>
      </c>
      <c r="T79" s="16">
        <v>97311.177574195201</v>
      </c>
      <c r="U79" s="16">
        <v>95294.311397500162</v>
      </c>
    </row>
    <row r="80" spans="1:21" x14ac:dyDescent="0.3">
      <c r="B80">
        <v>234</v>
      </c>
      <c r="C80" s="8">
        <v>148802.20386643172</v>
      </c>
      <c r="E80" s="20"/>
      <c r="F80" s="15">
        <v>0.125</v>
      </c>
      <c r="G80" s="16">
        <v>124784.87556723831</v>
      </c>
      <c r="H80" s="16">
        <v>122511.38861560536</v>
      </c>
      <c r="I80" s="16">
        <v>120258.38758280105</v>
      </c>
      <c r="J80" s="16">
        <v>118025.6293983229</v>
      </c>
      <c r="K80" s="16">
        <v>115812.87450849597</v>
      </c>
      <c r="L80" s="16">
        <v>113619.88681690628</v>
      </c>
      <c r="M80" s="16">
        <v>111446.4336259822</v>
      </c>
      <c r="N80" s="16">
        <v>109292.28557970613</v>
      </c>
      <c r="O80" s="16">
        <v>107157.21660742466</v>
      </c>
      <c r="P80" s="16">
        <v>105041.00386874028</v>
      </c>
      <c r="Q80" s="16">
        <v>102943.42769945407</v>
      </c>
      <c r="R80" s="16">
        <v>100864.27155854471</v>
      </c>
      <c r="S80" s="16">
        <v>98803.321976154926</v>
      </c>
      <c r="T80" s="16">
        <v>96760.368502568745</v>
      </c>
      <c r="U80" s="16">
        <v>94735.203658154001</v>
      </c>
    </row>
    <row r="81" spans="2:21" x14ac:dyDescent="0.3">
      <c r="B81">
        <v>239</v>
      </c>
      <c r="C81" s="8">
        <v>161639.50012695603</v>
      </c>
      <c r="E81" s="20"/>
      <c r="F81" s="15">
        <v>0.13</v>
      </c>
      <c r="G81" s="16">
        <v>124350.90931788192</v>
      </c>
      <c r="H81" s="16">
        <v>122067.80812970531</v>
      </c>
      <c r="I81" s="16">
        <v>119805.30250272469</v>
      </c>
      <c r="J81" s="16">
        <v>117563.14787635923</v>
      </c>
      <c r="K81" s="16">
        <v>115341.10323041235</v>
      </c>
      <c r="L81" s="16">
        <v>113138.93102507934</v>
      </c>
      <c r="M81" s="16">
        <v>110956.39714211359</v>
      </c>
      <c r="N81" s="16">
        <v>108793.27082712983</v>
      </c>
      <c r="O81" s="16">
        <v>106649.32463301544</v>
      </c>
      <c r="P81" s="16">
        <v>104524.33436443016</v>
      </c>
      <c r="Q81" s="16">
        <v>102418.07902336575</v>
      </c>
      <c r="R81" s="16">
        <v>100330.3407557485</v>
      </c>
      <c r="S81" s="16">
        <v>98260.904799057869</v>
      </c>
      <c r="T81" s="16">
        <v>96209.55943094223</v>
      </c>
      <c r="U81" s="16">
        <v>94176.0959188079</v>
      </c>
    </row>
    <row r="82" spans="2:21" x14ac:dyDescent="0.3">
      <c r="B82">
        <v>244</v>
      </c>
      <c r="C82" s="8">
        <v>174476.79638748051</v>
      </c>
      <c r="E82" s="20"/>
      <c r="F82" s="15">
        <v>0.13500000000000001</v>
      </c>
      <c r="G82" s="16">
        <v>123916.94306852558</v>
      </c>
      <c r="H82" s="16">
        <v>121624.22764380538</v>
      </c>
      <c r="I82" s="16">
        <v>119352.21742264833</v>
      </c>
      <c r="J82" s="16">
        <v>117100.66635439568</v>
      </c>
      <c r="K82" s="16">
        <v>114869.33195232879</v>
      </c>
      <c r="L82" s="16">
        <v>112657.97523325251</v>
      </c>
      <c r="M82" s="16">
        <v>110466.3606582451</v>
      </c>
      <c r="N82" s="16">
        <v>108294.25607455359</v>
      </c>
      <c r="O82" s="16">
        <v>106141.43265860627</v>
      </c>
      <c r="P82" s="16">
        <v>104007.66486012004</v>
      </c>
      <c r="Q82" s="16">
        <v>101892.73034727736</v>
      </c>
      <c r="R82" s="16">
        <v>99796.409952952294</v>
      </c>
      <c r="S82" s="16">
        <v>97718.487621960812</v>
      </c>
      <c r="T82" s="16">
        <v>95658.750359315833</v>
      </c>
      <c r="U82" s="16">
        <v>93616.988179461798</v>
      </c>
    </row>
    <row r="83" spans="2:21" x14ac:dyDescent="0.3">
      <c r="B83">
        <v>249</v>
      </c>
      <c r="C83" s="8">
        <v>187314.09264800488</v>
      </c>
      <c r="E83" s="20"/>
      <c r="F83" s="15">
        <v>0.14000000000000001</v>
      </c>
      <c r="G83" s="16">
        <v>123482.97681916924</v>
      </c>
      <c r="H83" s="16">
        <v>121180.64715790545</v>
      </c>
      <c r="I83" s="16">
        <v>118899.13234257197</v>
      </c>
      <c r="J83" s="16">
        <v>116638.18483243213</v>
      </c>
      <c r="K83" s="16">
        <v>114397.56067424518</v>
      </c>
      <c r="L83" s="16">
        <v>112177.01944142563</v>
      </c>
      <c r="M83" s="16">
        <v>109976.3241743765</v>
      </c>
      <c r="N83" s="16">
        <v>107795.24132197734</v>
      </c>
      <c r="O83" s="16">
        <v>105633.54068419704</v>
      </c>
      <c r="P83" s="16">
        <v>103490.99535580992</v>
      </c>
      <c r="Q83" s="16">
        <v>101367.38167118898</v>
      </c>
      <c r="R83" s="16">
        <v>99262.479150156083</v>
      </c>
      <c r="S83" s="16">
        <v>97176.070444863872</v>
      </c>
      <c r="T83" s="16">
        <v>95107.941287689318</v>
      </c>
      <c r="U83" s="16">
        <v>93057.880440115638</v>
      </c>
    </row>
    <row r="84" spans="2:21" x14ac:dyDescent="0.3">
      <c r="E84" s="20"/>
      <c r="F84" s="15">
        <v>0.14499999999999999</v>
      </c>
      <c r="G84" s="16">
        <v>123049.0105698129</v>
      </c>
      <c r="H84" s="16">
        <v>120737.06667200546</v>
      </c>
      <c r="I84" s="16">
        <v>118446.04726249567</v>
      </c>
      <c r="J84" s="16">
        <v>116175.70331046858</v>
      </c>
      <c r="K84" s="16">
        <v>113925.78939616168</v>
      </c>
      <c r="L84" s="16">
        <v>111696.06364959886</v>
      </c>
      <c r="M84" s="16">
        <v>109486.28769050795</v>
      </c>
      <c r="N84" s="16">
        <v>107296.22656940116</v>
      </c>
      <c r="O84" s="16">
        <v>105125.64870978781</v>
      </c>
      <c r="P84" s="16">
        <v>102974.32585149986</v>
      </c>
      <c r="Q84" s="16">
        <v>100842.03299510066</v>
      </c>
      <c r="R84" s="16">
        <v>98728.548347359931</v>
      </c>
      <c r="S84" s="16">
        <v>96633.653267766815</v>
      </c>
      <c r="T84" s="16">
        <v>94557.132216062921</v>
      </c>
      <c r="U84" s="16">
        <v>92498.772700769536</v>
      </c>
    </row>
    <row r="85" spans="2:21" ht="15" thickBot="1" x14ac:dyDescent="0.35">
      <c r="E85" s="21"/>
      <c r="F85" s="15">
        <v>0.15</v>
      </c>
      <c r="G85" s="16">
        <v>122615.04432045651</v>
      </c>
      <c r="H85" s="16">
        <v>120293.48618610553</v>
      </c>
      <c r="I85" s="16">
        <v>117992.96218241926</v>
      </c>
      <c r="J85" s="16">
        <v>115713.22178850492</v>
      </c>
      <c r="K85" s="16">
        <v>113454.01811807806</v>
      </c>
      <c r="L85" s="16">
        <v>111215.10785777197</v>
      </c>
      <c r="M85" s="16">
        <v>108996.2512066394</v>
      </c>
      <c r="N85" s="16">
        <v>106797.21181682486</v>
      </c>
      <c r="O85" s="16">
        <v>104617.75673537864</v>
      </c>
      <c r="P85" s="16">
        <v>102457.65634718974</v>
      </c>
      <c r="Q85" s="16">
        <v>100316.68431901227</v>
      </c>
      <c r="R85" s="16">
        <v>98194.617544563662</v>
      </c>
      <c r="S85" s="16">
        <v>96091.236090669699</v>
      </c>
      <c r="T85" s="16">
        <v>94006.323144436406</v>
      </c>
      <c r="U85" s="16">
        <v>91939.664961423317</v>
      </c>
    </row>
    <row r="88" spans="2:21" x14ac:dyDescent="0.3"/>
  </sheetData>
  <mergeCells count="3">
    <mergeCell ref="N3:R3"/>
    <mergeCell ref="E71:E85"/>
    <mergeCell ref="G69:U69"/>
  </mergeCells>
  <dataValidations count="1">
    <dataValidation type="list" allowBlank="1" showInputMessage="1" showErrorMessage="1" sqref="B4" xr:uid="{00000000-0002-0000-0000-000000000000}">
      <formula1>$O$4:$R$4</formula1>
    </dataValidation>
  </dataValidation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SalesVol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Instructor</dc:creator>
  <cp:lastModifiedBy>Hazem Albassam</cp:lastModifiedBy>
  <dcterms:created xsi:type="dcterms:W3CDTF">2017-11-07T00:33:55Z</dcterms:created>
  <dcterms:modified xsi:type="dcterms:W3CDTF">2020-06-06T20:10:37Z</dcterms:modified>
</cp:coreProperties>
</file>